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ADM BUDGET 2012" sheetId="1" r:id="rId1"/>
    <sheet name="ADMI BUDGET SUMMARY 2012" sheetId="2" r:id="rId2"/>
    <sheet name="STRUCTURE DU PERSONNEL 2012" sheetId="3" r:id="rId3"/>
  </sheets>
  <definedNames>
    <definedName name="_xlnm.Print_Area" localSheetId="0">'ADM BUDGET 2012'!$A$1:$H$48</definedName>
  </definedNames>
  <calcPr fullCalcOnLoad="1"/>
</workbook>
</file>

<file path=xl/sharedStrings.xml><?xml version="1.0" encoding="utf-8"?>
<sst xmlns="http://schemas.openxmlformats.org/spreadsheetml/2006/main" count="186" uniqueCount="89">
  <si>
    <t>Description</t>
  </si>
  <si>
    <t>Sous Total 1</t>
  </si>
  <si>
    <t>Coûts opérationnels</t>
  </si>
  <si>
    <t>Sous Total 2</t>
  </si>
  <si>
    <t>Total IP</t>
  </si>
  <si>
    <t>Total Staff</t>
  </si>
  <si>
    <t>Total Général</t>
  </si>
  <si>
    <t xml:space="preserve">Total Général </t>
  </si>
  <si>
    <t>²²²²</t>
  </si>
  <si>
    <t>Montant</t>
  </si>
  <si>
    <t>71200 International Consultants</t>
  </si>
  <si>
    <t>72300 - Materials &amp; Goods</t>
  </si>
  <si>
    <t>71300 Local Consultants</t>
  </si>
  <si>
    <t>71400 Contractual Services - Individ</t>
  </si>
  <si>
    <t>71600 Travel</t>
  </si>
  <si>
    <t>72100 Contractual Services-Companies</t>
  </si>
  <si>
    <t>72200 Equipment and Furniture</t>
  </si>
  <si>
    <t>72400 Communic &amp; Audio Visual Equip</t>
  </si>
  <si>
    <t>72500 Supplies</t>
  </si>
  <si>
    <t>72700 Hospitality/Catering</t>
  </si>
  <si>
    <t>72800 Information Technology Equipmt</t>
  </si>
  <si>
    <t>73200 Premises Alternations</t>
  </si>
  <si>
    <t>73400 Rental &amp; Maint of Other Equip</t>
  </si>
  <si>
    <t>74100 Professional Services</t>
  </si>
  <si>
    <t>74300 Contributions</t>
  </si>
  <si>
    <t>74500 Miscellaneous Expenses</t>
  </si>
  <si>
    <t>75700 Training</t>
  </si>
  <si>
    <t>61200 Salary Costs - GS Staff</t>
  </si>
  <si>
    <t>62200 Recur Payroll Costs - GS Staff</t>
  </si>
  <si>
    <t>63500 Insurance and Security Costs</t>
  </si>
  <si>
    <t>65100 After Service Insurance</t>
  </si>
  <si>
    <t>66100 Overtime and Night Differential</t>
  </si>
  <si>
    <t>73100 Rental Maint Premises</t>
  </si>
  <si>
    <t>63200 Non -Recurrent Payroll Costs</t>
  </si>
  <si>
    <t>63300 Non -Recurrent Payroll Costs-IP Staff</t>
  </si>
  <si>
    <t>62300 Recurrent Payroll Costs-IP Staff</t>
  </si>
  <si>
    <t>61300 Salary and Post Adj Costs IP Staff</t>
  </si>
  <si>
    <t>62100 Recurrent Payroll Costs-NP Staff</t>
  </si>
  <si>
    <t>61100 Salary Costs - NP Staff</t>
  </si>
  <si>
    <t>DEPENSES STAFF</t>
  </si>
  <si>
    <t>63100  Non-Recurrent Payroll Costs-NP Staf</t>
  </si>
  <si>
    <t>62200 Recurrent Payroll Costs- GS Staff</t>
  </si>
  <si>
    <t>Total Budget</t>
  </si>
  <si>
    <t>2 - Core Ressources 02550</t>
  </si>
  <si>
    <t>1- Core Ressources 02300</t>
  </si>
  <si>
    <t>64300 Staff Mgmt Cost - IP Staff</t>
  </si>
  <si>
    <t>3 - Reserve Funds 02910</t>
  </si>
  <si>
    <t>2 - Extra-Budget Ressources 11300</t>
  </si>
  <si>
    <t>74200 Printing &amp; Publication</t>
  </si>
  <si>
    <t>DEPENSES FONCTIONNEMENT</t>
  </si>
  <si>
    <t>Total LNO (2)</t>
  </si>
  <si>
    <t xml:space="preserve">PLANNING AND BUDGETING 2012 (PNUD) </t>
  </si>
  <si>
    <t>74300 Contributions( Service Communs)</t>
  </si>
  <si>
    <t>Total GS (6)</t>
  </si>
  <si>
    <t>Total IP (1)</t>
  </si>
  <si>
    <t>Total GS (2)</t>
  </si>
  <si>
    <t>Total LNO (1)</t>
  </si>
  <si>
    <t>Total GS(6)</t>
  </si>
  <si>
    <t>RUBRIQUES</t>
  </si>
  <si>
    <t>FUNDS</t>
  </si>
  <si>
    <t>"02910</t>
  </si>
  <si>
    <t>"02300</t>
  </si>
  <si>
    <t>"02550</t>
  </si>
  <si>
    <t>Core</t>
  </si>
  <si>
    <t>Core Prog</t>
  </si>
  <si>
    <t>XB</t>
  </si>
  <si>
    <t>Reserve</t>
  </si>
  <si>
    <t>TOTAL</t>
  </si>
  <si>
    <t>Personnel Local</t>
  </si>
  <si>
    <t>Personnel International</t>
  </si>
  <si>
    <t>Dépenses de Fonctionnement</t>
  </si>
  <si>
    <t>Nbre de Postes</t>
  </si>
  <si>
    <t>Sous Total STAFF</t>
  </si>
  <si>
    <t>Sous Total Fonctionnement</t>
  </si>
  <si>
    <t>ADMIN BUDGET SUMMARY</t>
  </si>
  <si>
    <t>STRUCTURE DU PERSONNEL 2012 BUDGET ADMINISTRATIF</t>
  </si>
  <si>
    <t>Source des fonds</t>
  </si>
  <si>
    <t>IP D1</t>
  </si>
  <si>
    <t>P4</t>
  </si>
  <si>
    <t>LNO</t>
  </si>
  <si>
    <t>GS</t>
  </si>
  <si>
    <t>TOTAL POSTE</t>
  </si>
  <si>
    <t>"11300</t>
  </si>
  <si>
    <t>TOTAL PAR GRADE</t>
  </si>
  <si>
    <t>RESSOURCES A MOBILISER</t>
  </si>
  <si>
    <t xml:space="preserve">* Opening Balance XB </t>
  </si>
  <si>
    <t xml:space="preserve">RESSOURCES ALLOUEES  ASL </t>
  </si>
  <si>
    <t>FMI</t>
  </si>
  <si>
    <t>Total Budget sans Sce Comm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</si>
</sst>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3"/>
      <name val="Arial Narrow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2"/>
      <color theme="4"/>
      <name val="Arial"/>
      <family val="2"/>
    </font>
    <font>
      <b/>
      <sz val="12"/>
      <color theme="4"/>
      <name val="Arial"/>
      <family val="2"/>
    </font>
    <font>
      <b/>
      <sz val="10"/>
      <color theme="5" tint="-0.24997000396251678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002060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sz val="18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double"/>
      <right style="thin"/>
      <top style="double"/>
      <bottom style="double"/>
    </border>
    <border>
      <left style="medium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 style="medium"/>
      <top style="thin"/>
      <bottom/>
    </border>
    <border>
      <left style="thin"/>
      <right style="medium"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double"/>
      <bottom style="thin"/>
    </border>
    <border>
      <left style="thin"/>
      <right style="medium"/>
      <top/>
      <bottom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0" fillId="34" borderId="0" xfId="0" applyFill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8" fillId="33" borderId="12" xfId="0" applyFont="1" applyFill="1" applyBorder="1" applyAlignment="1">
      <alignment horizontal="left" vertical="center"/>
    </xf>
    <xf numFmtId="0" fontId="68" fillId="33" borderId="11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67" fillId="34" borderId="10" xfId="0" applyFont="1" applyFill="1" applyBorder="1" applyAlignment="1">
      <alignment horizontal="left" vertical="center"/>
    </xf>
    <xf numFmtId="0" fontId="67" fillId="34" borderId="16" xfId="0" applyFont="1" applyFill="1" applyBorder="1" applyAlignment="1">
      <alignment horizontal="left" vertical="center"/>
    </xf>
    <xf numFmtId="0" fontId="68" fillId="33" borderId="24" xfId="0" applyFont="1" applyFill="1" applyBorder="1" applyAlignment="1">
      <alignment horizontal="left" vertical="center"/>
    </xf>
    <xf numFmtId="4" fontId="4" fillId="0" borderId="25" xfId="0" applyNumberFormat="1" applyFont="1" applyBorder="1" applyAlignment="1">
      <alignment vertical="center"/>
    </xf>
    <xf numFmtId="4" fontId="69" fillId="0" borderId="25" xfId="0" applyNumberFormat="1" applyFont="1" applyBorder="1" applyAlignment="1">
      <alignment vertical="center"/>
    </xf>
    <xf numFmtId="4" fontId="4" fillId="34" borderId="25" xfId="0" applyNumberFormat="1" applyFont="1" applyFill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33" borderId="16" xfId="0" applyNumberFormat="1" applyFont="1" applyFill="1" applyBorder="1" applyAlignment="1">
      <alignment horizontal="right" vertical="center"/>
    </xf>
    <xf numFmtId="0" fontId="70" fillId="0" borderId="16" xfId="0" applyFont="1" applyBorder="1" applyAlignment="1">
      <alignment horizontal="left" vertical="center"/>
    </xf>
    <xf numFmtId="4" fontId="9" fillId="0" borderId="0" xfId="0" applyNumberFormat="1" applyFont="1" applyAlignment="1">
      <alignment/>
    </xf>
    <xf numFmtId="0" fontId="65" fillId="0" borderId="0" xfId="0" applyFont="1" applyAlignment="1">
      <alignment/>
    </xf>
    <xf numFmtId="3" fontId="71" fillId="0" borderId="26" xfId="0" applyNumberFormat="1" applyFont="1" applyBorder="1" applyAlignment="1">
      <alignment vertical="center"/>
    </xf>
    <xf numFmtId="3" fontId="72" fillId="0" borderId="26" xfId="0" applyNumberFormat="1" applyFont="1" applyFill="1" applyBorder="1" applyAlignment="1">
      <alignment vertical="center"/>
    </xf>
    <xf numFmtId="4" fontId="71" fillId="0" borderId="26" xfId="0" applyNumberFormat="1" applyFont="1" applyBorder="1" applyAlignment="1">
      <alignment vertical="center"/>
    </xf>
    <xf numFmtId="3" fontId="73" fillId="0" borderId="0" xfId="0" applyNumberFormat="1" applyFont="1" applyAlignment="1">
      <alignment/>
    </xf>
    <xf numFmtId="1" fontId="4" fillId="0" borderId="25" xfId="0" applyNumberFormat="1" applyFont="1" applyBorder="1" applyAlignment="1">
      <alignment vertical="center"/>
    </xf>
    <xf numFmtId="1" fontId="4" fillId="0" borderId="27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" fontId="3" fillId="33" borderId="20" xfId="0" applyNumberFormat="1" applyFont="1" applyFill="1" applyBorder="1" applyAlignment="1">
      <alignment vertical="center"/>
    </xf>
    <xf numFmtId="3" fontId="3" fillId="34" borderId="20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71" fillId="0" borderId="23" xfId="0" applyNumberFormat="1" applyFont="1" applyBorder="1" applyAlignment="1">
      <alignment vertical="center"/>
    </xf>
    <xf numFmtId="3" fontId="74" fillId="34" borderId="16" xfId="0" applyNumberFormat="1" applyFont="1" applyFill="1" applyBorder="1" applyAlignment="1">
      <alignment vertical="center"/>
    </xf>
    <xf numFmtId="3" fontId="75" fillId="33" borderId="16" xfId="0" applyNumberFormat="1" applyFont="1" applyFill="1" applyBorder="1" applyAlignment="1">
      <alignment vertical="center"/>
    </xf>
    <xf numFmtId="3" fontId="72" fillId="0" borderId="23" xfId="0" applyNumberFormat="1" applyFont="1" applyFill="1" applyBorder="1" applyAlignment="1">
      <alignment vertical="center"/>
    </xf>
    <xf numFmtId="1" fontId="3" fillId="33" borderId="27" xfId="0" applyNumberFormat="1" applyFont="1" applyFill="1" applyBorder="1" applyAlignment="1">
      <alignment vertical="center"/>
    </xf>
    <xf numFmtId="3" fontId="3" fillId="34" borderId="27" xfId="0" applyNumberFormat="1" applyFont="1" applyFill="1" applyBorder="1" applyAlignment="1">
      <alignment vertical="center"/>
    </xf>
    <xf numFmtId="3" fontId="71" fillId="0" borderId="28" xfId="0" applyNumberFormat="1" applyFont="1" applyBorder="1" applyAlignment="1">
      <alignment vertical="center"/>
    </xf>
    <xf numFmtId="0" fontId="65" fillId="0" borderId="25" xfId="0" applyFont="1" applyBorder="1" applyAlignment="1">
      <alignment vertical="center"/>
    </xf>
    <xf numFmtId="3" fontId="74" fillId="34" borderId="25" xfId="0" applyNumberFormat="1" applyFont="1" applyFill="1" applyBorder="1" applyAlignment="1">
      <alignment vertical="center"/>
    </xf>
    <xf numFmtId="3" fontId="74" fillId="0" borderId="25" xfId="0" applyNumberFormat="1" applyFont="1" applyBorder="1" applyAlignment="1">
      <alignment vertical="center"/>
    </xf>
    <xf numFmtId="3" fontId="75" fillId="33" borderId="25" xfId="0" applyNumberFormat="1" applyFont="1" applyFill="1" applyBorder="1" applyAlignment="1">
      <alignment vertical="center"/>
    </xf>
    <xf numFmtId="3" fontId="72" fillId="0" borderId="28" xfId="0" applyNumberFormat="1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vertical="center"/>
    </xf>
    <xf numFmtId="1" fontId="3" fillId="33" borderId="29" xfId="0" applyNumberFormat="1" applyFont="1" applyFill="1" applyBorder="1" applyAlignment="1">
      <alignment vertical="center"/>
    </xf>
    <xf numFmtId="1" fontId="4" fillId="0" borderId="30" xfId="0" applyNumberFormat="1" applyFont="1" applyBorder="1" applyAlignment="1">
      <alignment vertical="center"/>
    </xf>
    <xf numFmtId="1" fontId="3" fillId="33" borderId="30" xfId="0" applyNumberFormat="1" applyFont="1" applyFill="1" applyBorder="1" applyAlignment="1">
      <alignment vertical="center"/>
    </xf>
    <xf numFmtId="1" fontId="4" fillId="0" borderId="31" xfId="0" applyNumberFormat="1" applyFont="1" applyBorder="1" applyAlignment="1">
      <alignment vertical="center"/>
    </xf>
    <xf numFmtId="1" fontId="4" fillId="33" borderId="25" xfId="0" applyNumberFormat="1" applyFont="1" applyFill="1" applyBorder="1" applyAlignment="1">
      <alignment vertical="center"/>
    </xf>
    <xf numFmtId="1" fontId="4" fillId="33" borderId="27" xfId="0" applyNumberFormat="1" applyFont="1" applyFill="1" applyBorder="1" applyAlignment="1">
      <alignment vertical="center"/>
    </xf>
    <xf numFmtId="1" fontId="4" fillId="34" borderId="27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3" fontId="4" fillId="0" borderId="32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0" fontId="65" fillId="0" borderId="33" xfId="0" applyFont="1" applyBorder="1" applyAlignment="1">
      <alignment vertical="center"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34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34" xfId="0" applyNumberFormat="1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4" fontId="10" fillId="0" borderId="37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" fontId="13" fillId="35" borderId="40" xfId="0" applyNumberFormat="1" applyFont="1" applyFill="1" applyBorder="1" applyAlignment="1">
      <alignment vertical="center"/>
    </xf>
    <xf numFmtId="4" fontId="13" fillId="35" borderId="41" xfId="0" applyNumberFormat="1" applyFont="1" applyFill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vertical="center"/>
    </xf>
    <xf numFmtId="0" fontId="75" fillId="0" borderId="44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75" fillId="0" borderId="46" xfId="0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68" fillId="0" borderId="47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78" fillId="0" borderId="48" xfId="0" applyFont="1" applyBorder="1" applyAlignment="1">
      <alignment vertical="center"/>
    </xf>
    <xf numFmtId="0" fontId="78" fillId="0" borderId="26" xfId="0" applyFont="1" applyBorder="1" applyAlignment="1">
      <alignment vertical="center"/>
    </xf>
    <xf numFmtId="0" fontId="77" fillId="36" borderId="49" xfId="0" applyFont="1" applyFill="1" applyBorder="1" applyAlignment="1">
      <alignment horizontal="center" vertical="center"/>
    </xf>
    <xf numFmtId="0" fontId="0" fillId="0" borderId="49" xfId="0" applyBorder="1" applyAlignment="1">
      <alignment vertical="center"/>
    </xf>
    <xf numFmtId="4" fontId="8" fillId="35" borderId="3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8" fillId="37" borderId="41" xfId="0" applyNumberFormat="1" applyFont="1" applyFill="1" applyBorder="1" applyAlignment="1">
      <alignment vertical="center"/>
    </xf>
    <xf numFmtId="4" fontId="9" fillId="22" borderId="26" xfId="0" applyNumberFormat="1" applyFont="1" applyFill="1" applyBorder="1" applyAlignment="1">
      <alignment vertical="center"/>
    </xf>
    <xf numFmtId="4" fontId="0" fillId="22" borderId="0" xfId="0" applyNumberFormat="1" applyFill="1" applyAlignment="1">
      <alignment/>
    </xf>
    <xf numFmtId="4" fontId="0" fillId="22" borderId="26" xfId="0" applyNumberFormat="1" applyFill="1" applyBorder="1" applyAlignment="1">
      <alignment vertical="center"/>
    </xf>
    <xf numFmtId="2" fontId="6" fillId="0" borderId="50" xfId="0" applyNumberFormat="1" applyFont="1" applyBorder="1" applyAlignment="1">
      <alignment horizontal="center" vertical="center"/>
    </xf>
    <xf numFmtId="2" fontId="6" fillId="0" borderId="44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9" fillId="22" borderId="48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3" fillId="35" borderId="57" xfId="0" applyFont="1" applyFill="1" applyBorder="1" applyAlignment="1">
      <alignment horizontal="center" vertical="center"/>
    </xf>
    <xf numFmtId="0" fontId="13" fillId="35" borderId="58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59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79" fillId="0" borderId="4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3" fontId="80" fillId="36" borderId="0" xfId="0" applyNumberFormat="1" applyFont="1" applyFill="1" applyAlignment="1">
      <alignment/>
    </xf>
    <xf numFmtId="3" fontId="80" fillId="38" borderId="0" xfId="0" applyNumberFormat="1" applyFont="1" applyFill="1" applyAlignment="1">
      <alignment/>
    </xf>
    <xf numFmtId="0" fontId="80" fillId="38" borderId="0" xfId="0" applyFont="1" applyFill="1" applyAlignment="1">
      <alignment/>
    </xf>
    <xf numFmtId="0" fontId="81" fillId="36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75" zoomScaleSheetLayoutView="75" zoomScalePageLayoutView="0" workbookViewId="0" topLeftCell="A34">
      <selection activeCell="C46" sqref="C46"/>
    </sheetView>
  </sheetViews>
  <sheetFormatPr defaultColWidth="11.421875" defaultRowHeight="12.75"/>
  <cols>
    <col min="1" max="1" width="41.57421875" style="0" customWidth="1"/>
    <col min="2" max="2" width="15.57421875" style="0" customWidth="1"/>
    <col min="3" max="3" width="43.00390625" style="0" customWidth="1"/>
    <col min="4" max="4" width="15.140625" style="0" bestFit="1" customWidth="1"/>
    <col min="5" max="5" width="42.00390625" style="0" customWidth="1"/>
    <col min="6" max="6" width="16.421875" style="0" customWidth="1"/>
    <col min="7" max="7" width="41.57421875" style="0" customWidth="1"/>
    <col min="8" max="8" width="10.57421875" style="0" bestFit="1" customWidth="1"/>
  </cols>
  <sheetData>
    <row r="1" spans="1:8" ht="39.75" customHeight="1" thickBot="1" thickTop="1">
      <c r="A1" s="133" t="s">
        <v>51</v>
      </c>
      <c r="B1" s="134"/>
      <c r="C1" s="134"/>
      <c r="D1" s="134"/>
      <c r="E1" s="134"/>
      <c r="F1" s="134"/>
      <c r="G1" s="134"/>
      <c r="H1" s="134"/>
    </row>
    <row r="2" spans="1:8" ht="14.25">
      <c r="A2" s="135" t="s">
        <v>44</v>
      </c>
      <c r="B2" s="136"/>
      <c r="C2" s="137" t="s">
        <v>43</v>
      </c>
      <c r="D2" s="136"/>
      <c r="E2" s="137" t="s">
        <v>47</v>
      </c>
      <c r="F2" s="138"/>
      <c r="G2" s="139" t="s">
        <v>46</v>
      </c>
      <c r="H2" s="136"/>
    </row>
    <row r="3" spans="1:8" ht="14.25">
      <c r="A3" s="2" t="s">
        <v>0</v>
      </c>
      <c r="B3" s="3" t="s">
        <v>9</v>
      </c>
      <c r="C3" s="4" t="s">
        <v>0</v>
      </c>
      <c r="D3" s="3" t="s">
        <v>9</v>
      </c>
      <c r="E3" s="4" t="s">
        <v>0</v>
      </c>
      <c r="F3" s="80" t="s">
        <v>9</v>
      </c>
      <c r="G3" s="12" t="s">
        <v>0</v>
      </c>
      <c r="H3" s="3" t="s">
        <v>9</v>
      </c>
    </row>
    <row r="4" spans="1:8" ht="18" customHeight="1">
      <c r="A4" s="5" t="s">
        <v>38</v>
      </c>
      <c r="B4" s="81">
        <f>81164-20949</f>
        <v>60215</v>
      </c>
      <c r="C4" s="7" t="s">
        <v>38</v>
      </c>
      <c r="D4" s="81">
        <f>22860*4</f>
        <v>91440</v>
      </c>
      <c r="E4" s="7" t="s">
        <v>38</v>
      </c>
      <c r="F4" s="62">
        <f>8692*4+2</f>
        <v>34770</v>
      </c>
      <c r="G4" s="13" t="s">
        <v>38</v>
      </c>
      <c r="H4" s="6">
        <f>11430*4</f>
        <v>45720</v>
      </c>
    </row>
    <row r="5" spans="1:8" s="1" customFormat="1" ht="18" customHeight="1">
      <c r="A5" s="5" t="s">
        <v>37</v>
      </c>
      <c r="B5" s="81">
        <f>9094*4-10000</f>
        <v>26376</v>
      </c>
      <c r="C5" s="7" t="s">
        <v>37</v>
      </c>
      <c r="D5" s="81">
        <f>5704*4</f>
        <v>22816</v>
      </c>
      <c r="E5" s="7" t="s">
        <v>37</v>
      </c>
      <c r="F5" s="63">
        <f>2000*4</f>
        <v>8000</v>
      </c>
      <c r="G5" s="13" t="s">
        <v>37</v>
      </c>
      <c r="H5" s="6">
        <f>3048*4</f>
        <v>12192</v>
      </c>
    </row>
    <row r="6" spans="1:8" s="1" customFormat="1" ht="18" customHeight="1">
      <c r="A6" s="5" t="s">
        <v>29</v>
      </c>
      <c r="B6" s="85">
        <f>600*4</f>
        <v>2400</v>
      </c>
      <c r="C6" s="7" t="s">
        <v>29</v>
      </c>
      <c r="D6" s="81">
        <f>300*4</f>
        <v>1200</v>
      </c>
      <c r="E6" s="7" t="s">
        <v>29</v>
      </c>
      <c r="F6" s="63">
        <f>1000*4</f>
        <v>4000</v>
      </c>
      <c r="G6" s="13" t="s">
        <v>29</v>
      </c>
      <c r="H6" s="6">
        <f>150*4</f>
        <v>600</v>
      </c>
    </row>
    <row r="7" spans="1:8" s="1" customFormat="1" ht="18" customHeight="1">
      <c r="A7" s="5" t="s">
        <v>40</v>
      </c>
      <c r="B7" s="81">
        <f>5000*4-10000</f>
        <v>10000</v>
      </c>
      <c r="C7" s="7" t="s">
        <v>40</v>
      </c>
      <c r="D7" s="81">
        <f>1000*4</f>
        <v>4000</v>
      </c>
      <c r="E7" s="7" t="s">
        <v>40</v>
      </c>
      <c r="F7" s="63">
        <f>514*4</f>
        <v>2056</v>
      </c>
      <c r="G7" s="7" t="s">
        <v>40</v>
      </c>
      <c r="H7" s="6">
        <f>500*4</f>
        <v>2000</v>
      </c>
    </row>
    <row r="8" spans="1:8" s="1" customFormat="1" ht="18" customHeight="1">
      <c r="A8" s="5" t="s">
        <v>30</v>
      </c>
      <c r="B8" s="81">
        <f>616*4</f>
        <v>2464</v>
      </c>
      <c r="C8" s="7" t="s">
        <v>30</v>
      </c>
      <c r="D8" s="81">
        <f>616*4</f>
        <v>2464</v>
      </c>
      <c r="E8" s="7" t="s">
        <v>30</v>
      </c>
      <c r="F8" s="62">
        <f>308*4</f>
        <v>1232</v>
      </c>
      <c r="G8" s="13" t="s">
        <v>30</v>
      </c>
      <c r="H8" s="6">
        <f>112*4</f>
        <v>448</v>
      </c>
    </row>
    <row r="9" spans="1:8" s="1" customFormat="1" ht="18" customHeight="1">
      <c r="A9" s="20" t="s">
        <v>50</v>
      </c>
      <c r="B9" s="82">
        <f>SUM(B4:B8)</f>
        <v>101455</v>
      </c>
      <c r="C9" s="20" t="s">
        <v>50</v>
      </c>
      <c r="D9" s="82">
        <f>SUM(D4:D8)</f>
        <v>121920</v>
      </c>
      <c r="E9" s="29" t="s">
        <v>56</v>
      </c>
      <c r="F9" s="86">
        <f>SUM(F4:F8)</f>
        <v>50058</v>
      </c>
      <c r="G9" s="27" t="s">
        <v>56</v>
      </c>
      <c r="H9" s="22">
        <f>SUM(H4:H8)</f>
        <v>60960</v>
      </c>
    </row>
    <row r="10" spans="1:8" s="1" customFormat="1" ht="18" customHeight="1">
      <c r="A10" s="17" t="s">
        <v>27</v>
      </c>
      <c r="B10" s="83">
        <f>32628*4-12645+33766</f>
        <v>151633</v>
      </c>
      <c r="C10" s="18" t="s">
        <v>27</v>
      </c>
      <c r="D10" s="64">
        <f>11250*4</f>
        <v>45000</v>
      </c>
      <c r="E10" s="18" t="s">
        <v>27</v>
      </c>
      <c r="F10" s="62">
        <f>23935*4</f>
        <v>95740</v>
      </c>
      <c r="G10" s="19" t="s">
        <v>27</v>
      </c>
      <c r="H10" s="8">
        <f>10620*4</f>
        <v>42480</v>
      </c>
    </row>
    <row r="11" spans="1:8" s="1" customFormat="1" ht="18" customHeight="1">
      <c r="A11" s="17" t="s">
        <v>28</v>
      </c>
      <c r="B11" s="83">
        <f>9428*4</f>
        <v>37712</v>
      </c>
      <c r="C11" s="18" t="s">
        <v>28</v>
      </c>
      <c r="D11" s="64">
        <f>3000*4</f>
        <v>12000</v>
      </c>
      <c r="E11" s="18" t="s">
        <v>28</v>
      </c>
      <c r="F11" s="63">
        <f>7086*4</f>
        <v>28344</v>
      </c>
      <c r="G11" s="13" t="s">
        <v>41</v>
      </c>
      <c r="H11" s="8">
        <f>3035*4</f>
        <v>12140</v>
      </c>
    </row>
    <row r="12" spans="1:8" s="1" customFormat="1" ht="18" customHeight="1">
      <c r="A12" s="17" t="s">
        <v>33</v>
      </c>
      <c r="B12" s="83">
        <f>2670*4</f>
        <v>10680</v>
      </c>
      <c r="C12" s="18" t="s">
        <v>33</v>
      </c>
      <c r="D12" s="64">
        <f>750*4</f>
        <v>3000</v>
      </c>
      <c r="E12" s="18" t="s">
        <v>33</v>
      </c>
      <c r="F12" s="63">
        <f>2500*4</f>
        <v>10000</v>
      </c>
      <c r="G12" s="19" t="s">
        <v>33</v>
      </c>
      <c r="H12" s="8">
        <f>734*4</f>
        <v>2936</v>
      </c>
    </row>
    <row r="13" spans="1:8" s="1" customFormat="1" ht="18" customHeight="1">
      <c r="A13" s="17" t="s">
        <v>31</v>
      </c>
      <c r="B13" s="83">
        <f>788*4</f>
        <v>3152</v>
      </c>
      <c r="C13" s="18" t="s">
        <v>31</v>
      </c>
      <c r="D13" s="64"/>
      <c r="E13" s="18" t="s">
        <v>31</v>
      </c>
      <c r="F13" s="63">
        <f>788*4</f>
        <v>3152</v>
      </c>
      <c r="G13" s="19" t="s">
        <v>31</v>
      </c>
      <c r="H13" s="8">
        <f>788*4</f>
        <v>3152</v>
      </c>
    </row>
    <row r="14" spans="1:8" s="1" customFormat="1" ht="18" customHeight="1">
      <c r="A14" s="21" t="s">
        <v>53</v>
      </c>
      <c r="B14" s="84">
        <f>SUM(B10:B13)</f>
        <v>203177</v>
      </c>
      <c r="C14" s="21" t="s">
        <v>55</v>
      </c>
      <c r="D14" s="84">
        <f>SUM(D10:D13)</f>
        <v>60000</v>
      </c>
      <c r="E14" s="30" t="s">
        <v>57</v>
      </c>
      <c r="F14" s="87">
        <f>SUM(F10:F13)</f>
        <v>137236</v>
      </c>
      <c r="G14" s="28" t="s">
        <v>55</v>
      </c>
      <c r="H14" s="54">
        <f>SUM(H10:H13)+1</f>
        <v>60709</v>
      </c>
    </row>
    <row r="15" spans="1:8" s="1" customFormat="1" ht="18" customHeight="1">
      <c r="A15" s="17" t="s">
        <v>36</v>
      </c>
      <c r="B15" s="83">
        <f>23549*4+46666</f>
        <v>140862</v>
      </c>
      <c r="C15" s="18" t="s">
        <v>36</v>
      </c>
      <c r="D15" s="64"/>
      <c r="E15" s="18" t="s">
        <v>36</v>
      </c>
      <c r="F15" s="63"/>
      <c r="G15" s="19" t="s">
        <v>36</v>
      </c>
      <c r="H15" s="8">
        <f>42000*4</f>
        <v>168000</v>
      </c>
    </row>
    <row r="16" spans="1:8" s="1" customFormat="1" ht="18" customHeight="1">
      <c r="A16" s="17" t="s">
        <v>35</v>
      </c>
      <c r="B16" s="83">
        <f>14803*4</f>
        <v>59212</v>
      </c>
      <c r="C16" s="18" t="s">
        <v>35</v>
      </c>
      <c r="D16" s="64"/>
      <c r="E16" s="18" t="s">
        <v>35</v>
      </c>
      <c r="F16" s="63"/>
      <c r="G16" s="19" t="s">
        <v>35</v>
      </c>
      <c r="H16" s="8">
        <f>12000*4</f>
        <v>48000</v>
      </c>
    </row>
    <row r="17" spans="1:8" s="1" customFormat="1" ht="18" customHeight="1">
      <c r="A17" s="17" t="s">
        <v>34</v>
      </c>
      <c r="B17" s="83">
        <f>3824*4</f>
        <v>15296</v>
      </c>
      <c r="C17" s="18" t="s">
        <v>34</v>
      </c>
      <c r="D17" s="64"/>
      <c r="E17" s="18" t="s">
        <v>34</v>
      </c>
      <c r="F17" s="63"/>
      <c r="G17" s="19" t="s">
        <v>34</v>
      </c>
      <c r="H17" s="8">
        <f>5000*4</f>
        <v>20000</v>
      </c>
    </row>
    <row r="18" spans="1:8" s="1" customFormat="1" ht="18" customHeight="1">
      <c r="A18" s="17" t="s">
        <v>29</v>
      </c>
      <c r="B18" s="81">
        <f>5607*4</f>
        <v>22428</v>
      </c>
      <c r="C18" s="18" t="s">
        <v>29</v>
      </c>
      <c r="D18" s="64"/>
      <c r="E18" s="18" t="s">
        <v>29</v>
      </c>
      <c r="F18" s="62"/>
      <c r="G18" s="19" t="s">
        <v>29</v>
      </c>
      <c r="H18" s="8">
        <f>1000*4</f>
        <v>4000</v>
      </c>
    </row>
    <row r="19" spans="1:8" s="1" customFormat="1" ht="18" customHeight="1">
      <c r="A19" s="17" t="s">
        <v>45</v>
      </c>
      <c r="B19" s="83">
        <f>10000*4+40000</f>
        <v>80000</v>
      </c>
      <c r="C19" s="7" t="s">
        <v>45</v>
      </c>
      <c r="D19" s="64"/>
      <c r="E19" s="18"/>
      <c r="F19" s="62"/>
      <c r="G19" s="19" t="s">
        <v>45</v>
      </c>
      <c r="H19" s="67"/>
    </row>
    <row r="20" spans="1:8" s="1" customFormat="1" ht="18" customHeight="1">
      <c r="A20" s="21" t="s">
        <v>54</v>
      </c>
      <c r="B20" s="72">
        <f>SUM(B15:B19)</f>
        <v>317798</v>
      </c>
      <c r="C20" s="65"/>
      <c r="D20" s="72">
        <f>SUM(D15:D18)</f>
        <v>0</v>
      </c>
      <c r="E20" s="29" t="s">
        <v>4</v>
      </c>
      <c r="F20" s="86">
        <f>SUM(F15:F18)</f>
        <v>0</v>
      </c>
      <c r="G20" s="27" t="s">
        <v>54</v>
      </c>
      <c r="H20" s="54">
        <f>SUM(H15:H18)</f>
        <v>240000</v>
      </c>
    </row>
    <row r="21" spans="1:8" s="37" customFormat="1" ht="18" customHeight="1" thickBot="1">
      <c r="A21" s="33"/>
      <c r="B21" s="73"/>
      <c r="C21" s="66"/>
      <c r="D21" s="66"/>
      <c r="E21" s="34"/>
      <c r="F21" s="88"/>
      <c r="G21" s="35"/>
      <c r="H21" s="36"/>
    </row>
    <row r="22" spans="1:24" s="1" customFormat="1" ht="18" customHeight="1" thickBot="1" thickTop="1">
      <c r="A22" s="38" t="s">
        <v>5</v>
      </c>
      <c r="B22" s="74">
        <f>B9+B14+B20</f>
        <v>622430</v>
      </c>
      <c r="C22" s="68"/>
      <c r="D22" s="74">
        <f>D9+D14+D20</f>
        <v>181920</v>
      </c>
      <c r="E22" s="39" t="s">
        <v>1</v>
      </c>
      <c r="F22" s="74">
        <f>F9+F14+F20</f>
        <v>187294</v>
      </c>
      <c r="G22" s="40" t="s">
        <v>1</v>
      </c>
      <c r="H22" s="58">
        <f>H9+H14+H20</f>
        <v>361669</v>
      </c>
      <c r="X22" s="31" t="s">
        <v>8</v>
      </c>
    </row>
    <row r="23" spans="1:8" s="1" customFormat="1" ht="18" customHeight="1" thickTop="1">
      <c r="A23" s="9" t="s">
        <v>2</v>
      </c>
      <c r="B23" s="90"/>
      <c r="C23" s="14" t="s">
        <v>2</v>
      </c>
      <c r="D23" s="90"/>
      <c r="E23" s="14" t="s">
        <v>2</v>
      </c>
      <c r="F23" s="91"/>
      <c r="G23" s="14"/>
      <c r="H23" s="10"/>
    </row>
    <row r="24" spans="1:8" s="1" customFormat="1" ht="18" customHeight="1">
      <c r="A24" s="23" t="s">
        <v>10</v>
      </c>
      <c r="B24" s="53"/>
      <c r="C24" s="26" t="s">
        <v>10</v>
      </c>
      <c r="D24" s="53"/>
      <c r="E24" s="26" t="s">
        <v>10</v>
      </c>
      <c r="F24" s="50"/>
      <c r="G24" s="26"/>
      <c r="H24" s="32"/>
    </row>
    <row r="25" spans="1:8" s="15" customFormat="1" ht="18" customHeight="1">
      <c r="A25" s="23" t="s">
        <v>12</v>
      </c>
      <c r="B25" s="75"/>
      <c r="C25" s="26" t="s">
        <v>12</v>
      </c>
      <c r="D25" s="75"/>
      <c r="E25" s="26" t="s">
        <v>12</v>
      </c>
      <c r="F25" s="51"/>
      <c r="G25" s="26"/>
      <c r="H25" s="32"/>
    </row>
    <row r="26" spans="1:8" s="1" customFormat="1" ht="18" customHeight="1">
      <c r="A26" s="23" t="s">
        <v>13</v>
      </c>
      <c r="B26" s="53"/>
      <c r="C26" s="26" t="s">
        <v>13</v>
      </c>
      <c r="D26" s="53"/>
      <c r="E26" s="26" t="s">
        <v>13</v>
      </c>
      <c r="F26" s="50"/>
      <c r="G26" s="26"/>
      <c r="H26" s="32"/>
    </row>
    <row r="27" spans="1:8" s="15" customFormat="1" ht="18" customHeight="1">
      <c r="A27" s="46" t="s">
        <v>14</v>
      </c>
      <c r="B27" s="76">
        <f>7000*4</f>
        <v>28000</v>
      </c>
      <c r="C27" s="89" t="s">
        <v>14</v>
      </c>
      <c r="D27" s="76">
        <f>5566*4</f>
        <v>22264</v>
      </c>
      <c r="E27" s="89" t="s">
        <v>14</v>
      </c>
      <c r="F27" s="52">
        <v>20000</v>
      </c>
      <c r="G27" s="26"/>
      <c r="H27" s="32"/>
    </row>
    <row r="28" spans="1:8" s="15" customFormat="1" ht="18" customHeight="1">
      <c r="A28" s="23" t="s">
        <v>15</v>
      </c>
      <c r="B28" s="77"/>
      <c r="C28" s="26" t="s">
        <v>15</v>
      </c>
      <c r="D28" s="77"/>
      <c r="E28" s="26" t="s">
        <v>15</v>
      </c>
      <c r="F28" s="50"/>
      <c r="G28" s="26"/>
      <c r="H28" s="32"/>
    </row>
    <row r="29" spans="1:8" s="15" customFormat="1" ht="18" customHeight="1">
      <c r="A29" s="23" t="s">
        <v>16</v>
      </c>
      <c r="B29" s="77">
        <f>7000*4</f>
        <v>28000</v>
      </c>
      <c r="C29" s="26" t="s">
        <v>16</v>
      </c>
      <c r="D29" s="77"/>
      <c r="E29" s="26" t="s">
        <v>16</v>
      </c>
      <c r="F29" s="92"/>
      <c r="G29" s="26"/>
      <c r="H29" s="32"/>
    </row>
    <row r="30" spans="1:8" s="15" customFormat="1" ht="18" customHeight="1">
      <c r="A30" s="23" t="s">
        <v>11</v>
      </c>
      <c r="B30" s="77"/>
      <c r="C30" s="26" t="s">
        <v>11</v>
      </c>
      <c r="D30" s="77"/>
      <c r="E30" s="26" t="s">
        <v>11</v>
      </c>
      <c r="F30" s="50">
        <v>60440</v>
      </c>
      <c r="G30" s="15" t="s">
        <v>87</v>
      </c>
      <c r="H30" s="32"/>
    </row>
    <row r="31" spans="1:8" s="1" customFormat="1" ht="18" customHeight="1">
      <c r="A31" s="23" t="s">
        <v>17</v>
      </c>
      <c r="B31" s="77">
        <f>10500*4</f>
        <v>42000</v>
      </c>
      <c r="C31" s="26" t="s">
        <v>17</v>
      </c>
      <c r="D31" s="77">
        <v>10000</v>
      </c>
      <c r="E31" s="26" t="s">
        <v>17</v>
      </c>
      <c r="F31" s="50"/>
      <c r="G31" s="55"/>
      <c r="H31" s="32"/>
    </row>
    <row r="32" spans="1:8" s="1" customFormat="1" ht="18" customHeight="1">
      <c r="A32" s="23" t="s">
        <v>18</v>
      </c>
      <c r="B32" s="77">
        <f>3700*4</f>
        <v>14800</v>
      </c>
      <c r="C32" s="26" t="s">
        <v>18</v>
      </c>
      <c r="D32" s="77"/>
      <c r="E32" s="26" t="s">
        <v>18</v>
      </c>
      <c r="F32" s="50"/>
      <c r="G32" s="26"/>
      <c r="H32" s="32"/>
    </row>
    <row r="33" spans="1:8" s="1" customFormat="1" ht="18" customHeight="1">
      <c r="A33" s="23" t="s">
        <v>19</v>
      </c>
      <c r="B33" s="77">
        <f>200*4</f>
        <v>800</v>
      </c>
      <c r="C33" s="26" t="s">
        <v>19</v>
      </c>
      <c r="D33" s="77"/>
      <c r="E33" s="26" t="s">
        <v>19</v>
      </c>
      <c r="F33" s="50"/>
      <c r="G33" s="26"/>
      <c r="H33" s="32"/>
    </row>
    <row r="34" spans="1:8" s="16" customFormat="1" ht="18" customHeight="1">
      <c r="A34" s="23" t="s">
        <v>20</v>
      </c>
      <c r="B34" s="77">
        <v>10000</v>
      </c>
      <c r="C34" s="26" t="s">
        <v>20</v>
      </c>
      <c r="D34" s="77">
        <v>20000</v>
      </c>
      <c r="E34" s="26" t="s">
        <v>20</v>
      </c>
      <c r="F34" s="50">
        <v>99652</v>
      </c>
      <c r="G34" s="55"/>
      <c r="H34" s="32"/>
    </row>
    <row r="35" spans="1:8" s="15" customFormat="1" ht="18" customHeight="1">
      <c r="A35" s="23" t="s">
        <v>32</v>
      </c>
      <c r="B35" s="76"/>
      <c r="C35" s="69"/>
      <c r="D35" s="76"/>
      <c r="E35" s="26" t="s">
        <v>32</v>
      </c>
      <c r="F35" s="52"/>
      <c r="G35" s="25"/>
      <c r="H35" s="32"/>
    </row>
    <row r="36" spans="1:8" s="16" customFormat="1" ht="18" customHeight="1">
      <c r="A36" s="24" t="s">
        <v>21</v>
      </c>
      <c r="B36" s="77">
        <f>1500*4</f>
        <v>6000</v>
      </c>
      <c r="C36" s="25" t="s">
        <v>21</v>
      </c>
      <c r="D36" s="77"/>
      <c r="E36" s="25" t="s">
        <v>21</v>
      </c>
      <c r="F36" s="50"/>
      <c r="G36" s="25"/>
      <c r="H36" s="32"/>
    </row>
    <row r="37" spans="1:8" s="16" customFormat="1" ht="18" customHeight="1">
      <c r="A37" s="24" t="s">
        <v>22</v>
      </c>
      <c r="B37" s="77">
        <f>7250*4</f>
        <v>29000</v>
      </c>
      <c r="C37" s="25" t="s">
        <v>22</v>
      </c>
      <c r="D37" s="77"/>
      <c r="E37" s="25" t="s">
        <v>22</v>
      </c>
      <c r="F37" s="50"/>
      <c r="G37" s="25"/>
      <c r="H37" s="32"/>
    </row>
    <row r="38" spans="1:8" s="16" customFormat="1" ht="18" customHeight="1">
      <c r="A38" s="24" t="s">
        <v>23</v>
      </c>
      <c r="B38" s="77"/>
      <c r="C38" s="25" t="s">
        <v>23</v>
      </c>
      <c r="D38" s="77"/>
      <c r="E38" s="25" t="s">
        <v>23</v>
      </c>
      <c r="F38" s="50"/>
      <c r="G38" s="25"/>
      <c r="H38" s="32"/>
    </row>
    <row r="39" spans="1:8" s="16" customFormat="1" ht="18" customHeight="1">
      <c r="A39" s="24" t="s">
        <v>48</v>
      </c>
      <c r="B39" s="77">
        <f>2000*4</f>
        <v>8000</v>
      </c>
      <c r="C39" s="25" t="s">
        <v>48</v>
      </c>
      <c r="D39" s="77"/>
      <c r="E39" s="25" t="s">
        <v>48</v>
      </c>
      <c r="F39" s="50"/>
      <c r="G39" s="25"/>
      <c r="H39" s="32"/>
    </row>
    <row r="40" spans="1:8" s="16" customFormat="1" ht="18" customHeight="1">
      <c r="A40" s="24" t="s">
        <v>25</v>
      </c>
      <c r="B40" s="77">
        <f>1700*4</f>
        <v>6800</v>
      </c>
      <c r="C40" s="25" t="s">
        <v>25</v>
      </c>
      <c r="D40" s="77"/>
      <c r="E40" s="25" t="s">
        <v>25</v>
      </c>
      <c r="F40" s="50"/>
      <c r="G40" s="25"/>
      <c r="H40" s="32"/>
    </row>
    <row r="41" spans="1:8" s="16" customFormat="1" ht="18" customHeight="1">
      <c r="A41" s="47" t="s">
        <v>26</v>
      </c>
      <c r="B41" s="77">
        <f>7609*4-7736</f>
        <v>22700</v>
      </c>
      <c r="C41" s="48" t="s">
        <v>26</v>
      </c>
      <c r="D41" s="77">
        <v>10000</v>
      </c>
      <c r="E41" s="48" t="s">
        <v>26</v>
      </c>
      <c r="F41" s="50">
        <v>20000</v>
      </c>
      <c r="G41" s="25"/>
      <c r="H41" s="32"/>
    </row>
    <row r="42" spans="1:8" s="15" customFormat="1" ht="18" customHeight="1" thickBot="1">
      <c r="A42" s="25" t="s">
        <v>52</v>
      </c>
      <c r="B42" s="76">
        <v>16935</v>
      </c>
      <c r="C42" s="69"/>
      <c r="D42" s="76"/>
      <c r="E42" s="25" t="s">
        <v>24</v>
      </c>
      <c r="F42" s="52">
        <f>50000+62265</f>
        <v>112265</v>
      </c>
      <c r="H42" s="32"/>
    </row>
    <row r="43" spans="1:8" s="15" customFormat="1" ht="18" customHeight="1" thickBot="1" thickTop="1">
      <c r="A43" s="38" t="s">
        <v>1</v>
      </c>
      <c r="B43" s="78">
        <f>SUM(B24:B41)</f>
        <v>196100</v>
      </c>
      <c r="C43" s="70"/>
      <c r="D43" s="78">
        <f>SUM(D24:D41)</f>
        <v>62264</v>
      </c>
      <c r="E43" s="44"/>
      <c r="F43" s="78">
        <f>SUM(F24:F41)</f>
        <v>200092</v>
      </c>
      <c r="G43" s="49"/>
      <c r="H43" s="45"/>
    </row>
    <row r="44" spans="1:8" s="1" customFormat="1" ht="18" customHeight="1" thickBot="1" thickTop="1">
      <c r="A44" s="38" t="s">
        <v>3</v>
      </c>
      <c r="B44" s="74">
        <f>SUM(B24:B42)</f>
        <v>213035</v>
      </c>
      <c r="C44" s="68"/>
      <c r="D44" s="74">
        <f>SUM(D24:D42)</f>
        <v>62264</v>
      </c>
      <c r="E44" s="39" t="s">
        <v>3</v>
      </c>
      <c r="F44" s="60">
        <f>SUM(F24:F42)</f>
        <v>312357</v>
      </c>
      <c r="G44" s="40" t="s">
        <v>3</v>
      </c>
      <c r="H44" s="58">
        <f>SUM(H24:H42)</f>
        <v>0</v>
      </c>
    </row>
    <row r="45" spans="1:8" s="11" customFormat="1" ht="18" customHeight="1" thickBot="1" thickTop="1">
      <c r="A45" s="41" t="s">
        <v>6</v>
      </c>
      <c r="B45" s="79">
        <f>+B22+B44</f>
        <v>835465</v>
      </c>
      <c r="C45" s="71"/>
      <c r="D45" s="79">
        <f>+D22+D44</f>
        <v>244184</v>
      </c>
      <c r="E45" s="42" t="s">
        <v>7</v>
      </c>
      <c r="F45" s="59">
        <f>+F22+F44</f>
        <v>499651</v>
      </c>
      <c r="G45" s="43" t="s">
        <v>7</v>
      </c>
      <c r="H45" s="59">
        <f>H22+H44</f>
        <v>361669</v>
      </c>
    </row>
    <row r="46" spans="1:4" ht="13.5" thickTop="1">
      <c r="A46" s="57"/>
      <c r="B46" s="56"/>
      <c r="C46" s="56"/>
      <c r="D46" s="56"/>
    </row>
    <row r="47" spans="1:4" ht="15.75">
      <c r="A47" s="93" t="s">
        <v>39</v>
      </c>
      <c r="B47" s="94">
        <f>B22+D22+F22+H22</f>
        <v>1353313</v>
      </c>
      <c r="D47" s="61"/>
    </row>
    <row r="48" spans="1:6" ht="22.5" customHeight="1">
      <c r="A48" s="93" t="s">
        <v>49</v>
      </c>
      <c r="B48" s="94">
        <f>B44+D44+F44</f>
        <v>587656</v>
      </c>
      <c r="C48" s="166" t="s">
        <v>42</v>
      </c>
      <c r="D48" s="165">
        <f>B48+B47</f>
        <v>1940969</v>
      </c>
      <c r="E48" s="167" t="s">
        <v>88</v>
      </c>
      <c r="F48" s="164">
        <f>D48-F42-B42</f>
        <v>1811769</v>
      </c>
    </row>
  </sheetData>
  <sheetProtection/>
  <mergeCells count="5">
    <mergeCell ref="A1:H1"/>
    <mergeCell ref="A2:B2"/>
    <mergeCell ref="C2:D2"/>
    <mergeCell ref="E2:F2"/>
    <mergeCell ref="G2:H2"/>
  </mergeCells>
  <printOptions horizontalCentered="1"/>
  <pageMargins left="0.07874015748031496" right="0.5905511811023623" top="0.3937007874015748" bottom="0.3937007874015748" header="0.2362204724409449" footer="0.1968503937007874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3">
      <selection activeCell="E16" sqref="E16"/>
    </sheetView>
  </sheetViews>
  <sheetFormatPr defaultColWidth="11.421875" defaultRowHeight="12.75"/>
  <cols>
    <col min="1" max="1" width="35.140625" style="0" customWidth="1"/>
    <col min="2" max="2" width="11.57421875" style="0" bestFit="1" customWidth="1"/>
    <col min="3" max="3" width="12.421875" style="0" customWidth="1"/>
    <col min="4" max="4" width="12.57421875" style="0" customWidth="1"/>
    <col min="5" max="5" width="17.28125" style="0" bestFit="1" customWidth="1"/>
    <col min="6" max="6" width="16.8515625" style="0" bestFit="1" customWidth="1"/>
    <col min="7" max="7" width="15.00390625" style="0" customWidth="1"/>
  </cols>
  <sheetData>
    <row r="1" spans="1:7" ht="29.25" customHeight="1" thickBot="1" thickTop="1">
      <c r="A1" s="152" t="s">
        <v>74</v>
      </c>
      <c r="B1" s="153"/>
      <c r="C1" s="153"/>
      <c r="D1" s="153"/>
      <c r="E1" s="153"/>
      <c r="F1" s="153"/>
      <c r="G1" s="154"/>
    </row>
    <row r="2" spans="1:7" ht="16.5" thickTop="1">
      <c r="A2" s="158" t="s">
        <v>58</v>
      </c>
      <c r="B2" s="147" t="s">
        <v>71</v>
      </c>
      <c r="C2" s="155" t="s">
        <v>59</v>
      </c>
      <c r="D2" s="156"/>
      <c r="E2" s="156"/>
      <c r="F2" s="157"/>
      <c r="G2" s="144" t="s">
        <v>67</v>
      </c>
    </row>
    <row r="3" spans="1:7" ht="15.75">
      <c r="A3" s="159"/>
      <c r="B3" s="148"/>
      <c r="C3" s="107" t="s">
        <v>61</v>
      </c>
      <c r="D3" s="107" t="s">
        <v>62</v>
      </c>
      <c r="E3" s="107">
        <v>11300</v>
      </c>
      <c r="F3" s="107" t="s">
        <v>60</v>
      </c>
      <c r="G3" s="145"/>
    </row>
    <row r="4" spans="1:7" ht="16.5" thickBot="1">
      <c r="A4" s="160"/>
      <c r="B4" s="149"/>
      <c r="C4" s="108" t="s">
        <v>63</v>
      </c>
      <c r="D4" s="108" t="s">
        <v>64</v>
      </c>
      <c r="E4" s="108" t="s">
        <v>65</v>
      </c>
      <c r="F4" s="108" t="s">
        <v>66</v>
      </c>
      <c r="G4" s="146"/>
    </row>
    <row r="5" spans="1:7" ht="30.75" customHeight="1" thickTop="1">
      <c r="A5" s="103" t="s">
        <v>68</v>
      </c>
      <c r="B5" s="104">
        <v>22</v>
      </c>
      <c r="C5" s="105">
        <f>'ADM BUDGET 2012'!B9+'ADM BUDGET 2012'!B14</f>
        <v>304632</v>
      </c>
      <c r="D5" s="105">
        <f>'ADM BUDGET 2012'!D9+'ADM BUDGET 2012'!D14</f>
        <v>181920</v>
      </c>
      <c r="E5" s="105">
        <f>'ADM BUDGET 2012'!F9+'ADM BUDGET 2012'!F14</f>
        <v>187294</v>
      </c>
      <c r="F5" s="105">
        <f>'ADM BUDGET 2012'!H9+'ADM BUDGET 2012'!H14</f>
        <v>121669</v>
      </c>
      <c r="G5" s="106">
        <f>SUM(C5:F5)</f>
        <v>795515</v>
      </c>
    </row>
    <row r="6" spans="1:7" ht="30" customHeight="1">
      <c r="A6" s="99" t="s">
        <v>69</v>
      </c>
      <c r="B6" s="100">
        <v>2</v>
      </c>
      <c r="C6" s="101">
        <f>'ADM BUDGET 2012'!B20</f>
        <v>317798</v>
      </c>
      <c r="D6" s="101"/>
      <c r="E6" s="101"/>
      <c r="F6" s="101">
        <f>'ADM BUDGET 2012'!H20</f>
        <v>240000</v>
      </c>
      <c r="G6" s="102">
        <f>SUM(C6:F6)</f>
        <v>557798</v>
      </c>
    </row>
    <row r="7" spans="1:7" ht="30" customHeight="1">
      <c r="A7" s="95" t="s">
        <v>72</v>
      </c>
      <c r="B7" s="96">
        <f aca="true" t="shared" si="0" ref="B7:G7">SUM(B5:B6)</f>
        <v>24</v>
      </c>
      <c r="C7" s="97">
        <f t="shared" si="0"/>
        <v>622430</v>
      </c>
      <c r="D7" s="97">
        <f t="shared" si="0"/>
        <v>181920</v>
      </c>
      <c r="E7" s="97">
        <f t="shared" si="0"/>
        <v>187294</v>
      </c>
      <c r="F7" s="97">
        <f>SUM(F5:F6)</f>
        <v>361669</v>
      </c>
      <c r="G7" s="98">
        <f t="shared" si="0"/>
        <v>1353313</v>
      </c>
    </row>
    <row r="8" spans="1:7" ht="30" customHeight="1">
      <c r="A8" s="99" t="s">
        <v>70</v>
      </c>
      <c r="B8" s="100"/>
      <c r="C8" s="101">
        <f>'ADM BUDGET 2012'!B44</f>
        <v>213035</v>
      </c>
      <c r="D8" s="101">
        <f>'ADM BUDGET 2012'!D44</f>
        <v>62264</v>
      </c>
      <c r="E8" s="101">
        <f>'ADM BUDGET 2012'!F44</f>
        <v>312357</v>
      </c>
      <c r="F8" s="101">
        <f>'ADM BUDGET 2012'!H44</f>
        <v>0</v>
      </c>
      <c r="G8" s="102">
        <f>SUM(C8:F8)</f>
        <v>587656</v>
      </c>
    </row>
    <row r="9" spans="1:7" ht="30" customHeight="1">
      <c r="A9" s="95" t="s">
        <v>73</v>
      </c>
      <c r="B9" s="96"/>
      <c r="C9" s="97">
        <f>SUM(C8)</f>
        <v>213035</v>
      </c>
      <c r="D9" s="97">
        <f>SUM(D8)</f>
        <v>62264</v>
      </c>
      <c r="E9" s="97">
        <f>SUM(E8)</f>
        <v>312357</v>
      </c>
      <c r="F9" s="97">
        <f>SUM(F8)</f>
        <v>0</v>
      </c>
      <c r="G9" s="98">
        <f>SUM(C9:F9)</f>
        <v>587656</v>
      </c>
    </row>
    <row r="10" spans="1:7" ht="30" customHeight="1" thickBot="1">
      <c r="A10" s="150" t="s">
        <v>6</v>
      </c>
      <c r="B10" s="151"/>
      <c r="C10" s="109">
        <f>C7+C9</f>
        <v>835465</v>
      </c>
      <c r="D10" s="109">
        <f>D7+D9</f>
        <v>244184</v>
      </c>
      <c r="E10" s="109">
        <f>E7+E9</f>
        <v>499651</v>
      </c>
      <c r="F10" s="109">
        <f>F7+F9</f>
        <v>361669</v>
      </c>
      <c r="G10" s="110">
        <f>G7+G9</f>
        <v>1940969</v>
      </c>
    </row>
    <row r="11" spans="1:7" ht="14.25" thickBot="1" thickTop="1">
      <c r="A11" s="140" t="s">
        <v>86</v>
      </c>
      <c r="B11" s="141"/>
      <c r="C11" s="132">
        <f>C10</f>
        <v>835465</v>
      </c>
      <c r="D11" s="132">
        <f>D10</f>
        <v>244184</v>
      </c>
      <c r="E11" s="130">
        <v>269717</v>
      </c>
      <c r="F11" s="132">
        <f>F10</f>
        <v>361669</v>
      </c>
      <c r="G11" s="126"/>
    </row>
    <row r="12" spans="1:7" ht="17.25" thickBot="1" thickTop="1">
      <c r="A12" s="142" t="s">
        <v>84</v>
      </c>
      <c r="B12" s="143"/>
      <c r="C12" s="127">
        <f>C10-C11</f>
        <v>0</v>
      </c>
      <c r="D12" s="127">
        <f>D10-D11</f>
        <v>0</v>
      </c>
      <c r="E12" s="127">
        <f>E10-E11</f>
        <v>229934</v>
      </c>
      <c r="F12" s="127">
        <f>F10-F11</f>
        <v>0</v>
      </c>
      <c r="G12" s="129">
        <f>SUM(C12:F12)</f>
        <v>229934</v>
      </c>
    </row>
    <row r="13" ht="13.5" thickTop="1">
      <c r="I13" s="128"/>
    </row>
    <row r="14" spans="1:2" ht="12.75">
      <c r="A14" s="128" t="s">
        <v>85</v>
      </c>
      <c r="B14" s="131">
        <v>269717</v>
      </c>
    </row>
  </sheetData>
  <sheetProtection/>
  <mergeCells count="8">
    <mergeCell ref="A11:B11"/>
    <mergeCell ref="A12:B12"/>
    <mergeCell ref="G2:G4"/>
    <mergeCell ref="B2:B4"/>
    <mergeCell ref="A10:B10"/>
    <mergeCell ref="A1:G1"/>
    <mergeCell ref="C2:F2"/>
    <mergeCell ref="A2:A4"/>
  </mergeCells>
  <printOptions horizontalCentered="1"/>
  <pageMargins left="0.3937007874015748" right="0.15748031496062992" top="0.4330708661417323" bottom="0.984251968503937" header="0.1574803149606299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26.8515625" style="0" customWidth="1"/>
    <col min="3" max="3" width="22.421875" style="0" customWidth="1"/>
    <col min="4" max="4" width="18.140625" style="0" customWidth="1"/>
    <col min="5" max="5" width="15.140625" style="0" customWidth="1"/>
    <col min="6" max="6" width="21.7109375" style="0" customWidth="1"/>
  </cols>
  <sheetData>
    <row r="1" spans="1:6" ht="44.25" customHeight="1" thickBot="1" thickTop="1">
      <c r="A1" s="161" t="s">
        <v>75</v>
      </c>
      <c r="B1" s="162"/>
      <c r="C1" s="162"/>
      <c r="D1" s="162"/>
      <c r="E1" s="162"/>
      <c r="F1" s="163"/>
    </row>
    <row r="2" spans="1:6" ht="52.5" customHeight="1" thickBot="1" thickTop="1">
      <c r="A2" s="111" t="s">
        <v>76</v>
      </c>
      <c r="B2" s="112" t="s">
        <v>77</v>
      </c>
      <c r="C2" s="113" t="s">
        <v>78</v>
      </c>
      <c r="D2" s="113" t="s">
        <v>79</v>
      </c>
      <c r="E2" s="113" t="s">
        <v>80</v>
      </c>
      <c r="F2" s="114" t="s">
        <v>81</v>
      </c>
    </row>
    <row r="3" spans="1:6" ht="51.75" customHeight="1" thickTop="1">
      <c r="A3" s="115" t="s">
        <v>61</v>
      </c>
      <c r="B3" s="116">
        <v>1</v>
      </c>
      <c r="C3" s="116"/>
      <c r="D3" s="116">
        <v>2</v>
      </c>
      <c r="E3" s="116">
        <v>6</v>
      </c>
      <c r="F3" s="117">
        <f>SUM(B3:E3)</f>
        <v>9</v>
      </c>
    </row>
    <row r="4" spans="1:6" ht="51.75" customHeight="1">
      <c r="A4" s="118" t="s">
        <v>62</v>
      </c>
      <c r="B4" s="119"/>
      <c r="C4" s="119"/>
      <c r="D4" s="119">
        <v>2</v>
      </c>
      <c r="E4" s="119">
        <v>2</v>
      </c>
      <c r="F4" s="120">
        <f>SUM(B4:E4)</f>
        <v>4</v>
      </c>
    </row>
    <row r="5" spans="1:6" ht="51.75" customHeight="1">
      <c r="A5" s="118" t="s">
        <v>60</v>
      </c>
      <c r="B5" s="119"/>
      <c r="C5" s="119">
        <v>1</v>
      </c>
      <c r="D5" s="119">
        <v>1</v>
      </c>
      <c r="E5" s="119">
        <v>2</v>
      </c>
      <c r="F5" s="120">
        <f>SUM(B5:E5)</f>
        <v>4</v>
      </c>
    </row>
    <row r="6" spans="1:6" ht="45.75" customHeight="1" thickBot="1">
      <c r="A6" s="115" t="s">
        <v>82</v>
      </c>
      <c r="B6" s="121"/>
      <c r="C6" s="122"/>
      <c r="D6" s="122">
        <v>1</v>
      </c>
      <c r="E6" s="122">
        <v>6</v>
      </c>
      <c r="F6" s="117">
        <f>SUM(B6:E6)</f>
        <v>7</v>
      </c>
    </row>
    <row r="7" spans="1:6" ht="25.5" customHeight="1" thickBot="1" thickTop="1">
      <c r="A7" s="123" t="s">
        <v>83</v>
      </c>
      <c r="B7" s="124">
        <f>SUM(B3:B6)</f>
        <v>1</v>
      </c>
      <c r="C7" s="124">
        <f>SUM(C3:C6)</f>
        <v>1</v>
      </c>
      <c r="D7" s="124">
        <f>SUM(D3:D6)</f>
        <v>6</v>
      </c>
      <c r="E7" s="124">
        <f>SUM(E3:E6)</f>
        <v>16</v>
      </c>
      <c r="F7" s="125">
        <f>SUM(F3:F6)</f>
        <v>24</v>
      </c>
    </row>
    <row r="8" ht="13.5" thickTop="1"/>
  </sheetData>
  <sheetProtection/>
  <mergeCells count="1">
    <mergeCell ref="A1:F1"/>
  </mergeCells>
  <printOptions horizontalCentered="1"/>
  <pageMargins left="0.28" right="0.19" top="0.35" bottom="0.31" header="0.26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Darkaoui Said Halidi</dc:creator>
  <cp:keywords/>
  <dc:description/>
  <cp:lastModifiedBy>Saidat Mze</cp:lastModifiedBy>
  <cp:lastPrinted>2012-04-16T07:03:39Z</cp:lastPrinted>
  <dcterms:created xsi:type="dcterms:W3CDTF">2008-09-18T06:53:35Z</dcterms:created>
  <dcterms:modified xsi:type="dcterms:W3CDTF">2012-05-09T14:11:05Z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1288;#COM|6cadeb50-8425-4402-8d6a-485ed3ea056c;#1109;#Budget|1c1fa43a-cb36-4844-8715-9a4cc93e1ac9;#1;#English|7f98b732-4b5b-4b70-ba90-a0eff09b5d2d;#763;#Draft|121d40a5-e62e-4d42-82e4-d6d12003de0a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287;#Budget|fc549c7a-78dd-43bd-a1be-cfb989f8b34d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COM|6cadeb50-8425-4402-8d6a-485ed3ea056c</vt:lpwstr>
  </property>
  <property fmtid="{D5CDD505-2E9C-101B-9397-08002B2CF9AE}" pid="12" name="Operating Uni">
    <vt:lpwstr>1288;#COM|6cadeb50-8425-4402-8d6a-485ed3ea056c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Budget|1c1fa43a-cb36-4844-8715-9a4cc93e1ac9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2014-04-24T10:00:00Z</vt:lpwstr>
  </property>
  <property fmtid="{D5CDD505-2E9C-101B-9397-08002B2CF9AE}" pid="29" name="UNDPCountryTaxHTFiel">
    <vt:lpwstr/>
  </property>
  <property fmtid="{D5CDD505-2E9C-101B-9397-08002B2CF9AE}" pid="30" name="_dlc_Doc">
    <vt:lpwstr>ATLASPDC-4-15301</vt:lpwstr>
  </property>
  <property fmtid="{D5CDD505-2E9C-101B-9397-08002B2CF9AE}" pid="31" name="_dlc_DocIdItemGu">
    <vt:lpwstr>0a2c6f47-0619-493c-b0de-1dbdb5edf6b0</vt:lpwstr>
  </property>
  <property fmtid="{D5CDD505-2E9C-101B-9397-08002B2CF9AE}" pid="32" name="_dlc_DocIdU">
    <vt:lpwstr>https://info.undp.org/docs/pdc/_layouts/DocIdRedir.aspx?ID=ATLASPDC-4-15301, ATLASPDC-4-15301</vt:lpwstr>
  </property>
  <property fmtid="{D5CDD505-2E9C-101B-9397-08002B2CF9AE}" pid="33" name="Atlas Document Ty">
    <vt:lpwstr>1109;#Budget|1c1fa43a-cb36-4844-8715-9a4cc93e1ac9</vt:lpwstr>
  </property>
  <property fmtid="{D5CDD505-2E9C-101B-9397-08002B2CF9AE}" pid="34" name="Project Numb">
    <vt:lpwstr>00038464</vt:lpwstr>
  </property>
  <property fmtid="{D5CDD505-2E9C-101B-9397-08002B2CF9AE}" pid="35" name="UndpOUCo">
    <vt:lpwstr/>
  </property>
  <property fmtid="{D5CDD505-2E9C-101B-9397-08002B2CF9AE}" pid="36" name="UndpProject">
    <vt:lpwstr>00038464</vt:lpwstr>
  </property>
  <property fmtid="{D5CDD505-2E9C-101B-9397-08002B2CF9AE}" pid="37" name="_Publish">
    <vt:lpwstr/>
  </property>
  <property fmtid="{D5CDD505-2E9C-101B-9397-08002B2CF9AE}" pid="38" name="UndpDocStat">
    <vt:lpwstr>Draft</vt:lpwstr>
  </property>
  <property fmtid="{D5CDD505-2E9C-101B-9397-08002B2CF9AE}" pid="39" name="DocumentSetDescripti">
    <vt:lpwstr/>
  </property>
  <property fmtid="{D5CDD505-2E9C-101B-9397-08002B2CF9AE}" pid="40" name="U">
    <vt:lpwstr/>
  </property>
  <property fmtid="{D5CDD505-2E9C-101B-9397-08002B2CF9AE}" pid="41" name="UndpDoc">
    <vt:lpwstr/>
  </property>
  <property fmtid="{D5CDD505-2E9C-101B-9397-08002B2CF9AE}" pid="42" name="Project Manag">
    <vt:lpwstr/>
  </property>
  <property fmtid="{D5CDD505-2E9C-101B-9397-08002B2CF9AE}" pid="43" name="UndpIsTempla">
    <vt:lpwstr>No</vt:lpwstr>
  </property>
  <property fmtid="{D5CDD505-2E9C-101B-9397-08002B2CF9AE}" pid="44" name="Outcom">
    <vt:lpwstr/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svcSP_AdminPI_UNDP</vt:lpwstr>
  </property>
  <property fmtid="{D5CDD505-2E9C-101B-9397-08002B2CF9AE}" pid="48" name="display_urn:schemas-microsoft-com:office:office#Auth">
    <vt:lpwstr>Saidat Mze</vt:lpwstr>
  </property>
</Properties>
</file>